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AD3552B-34CC-41B6-9607-841372329BD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ダッシュボード" sheetId="3" r:id="rId1"/>
    <sheet name="設定" sheetId="1" r:id="rId2"/>
    <sheet name="月次入力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7" i="2" l="1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6" i="2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B5" i="3"/>
  <c r="M4" i="3"/>
  <c r="M3" i="3"/>
  <c r="F30" i="2"/>
  <c r="D30" i="2"/>
  <c r="C30" i="2"/>
  <c r="E29" i="2"/>
  <c r="B29" i="2"/>
  <c r="K26" i="3" s="1"/>
  <c r="E28" i="2"/>
  <c r="B28" i="2"/>
  <c r="K25" i="3" s="1"/>
  <c r="E27" i="2"/>
  <c r="B27" i="2"/>
  <c r="K24" i="3" s="1"/>
  <c r="E26" i="2"/>
  <c r="B26" i="2"/>
  <c r="K23" i="3" s="1"/>
  <c r="E25" i="2"/>
  <c r="B25" i="2"/>
  <c r="K22" i="3" s="1"/>
  <c r="E24" i="2"/>
  <c r="B24" i="2"/>
  <c r="K21" i="3" s="1"/>
  <c r="E23" i="2"/>
  <c r="B23" i="2"/>
  <c r="K20" i="3" s="1"/>
  <c r="E22" i="2"/>
  <c r="B22" i="2"/>
  <c r="K19" i="3" s="1"/>
  <c r="E21" i="2"/>
  <c r="B21" i="2"/>
  <c r="K18" i="3" s="1"/>
  <c r="E20" i="2"/>
  <c r="B20" i="2"/>
  <c r="K17" i="3" s="1"/>
  <c r="E19" i="2"/>
  <c r="B19" i="2"/>
  <c r="K16" i="3" s="1"/>
  <c r="E18" i="2"/>
  <c r="B18" i="2"/>
  <c r="K15" i="3" s="1"/>
  <c r="E17" i="2"/>
  <c r="B17" i="2"/>
  <c r="K14" i="3" s="1"/>
  <c r="E16" i="2"/>
  <c r="B16" i="2"/>
  <c r="K13" i="3" s="1"/>
  <c r="E15" i="2"/>
  <c r="B15" i="2"/>
  <c r="K12" i="3" s="1"/>
  <c r="E14" i="2"/>
  <c r="B14" i="2"/>
  <c r="K11" i="3" s="1"/>
  <c r="E13" i="2"/>
  <c r="B13" i="2"/>
  <c r="K10" i="3" s="1"/>
  <c r="E12" i="2"/>
  <c r="B12" i="2"/>
  <c r="K9" i="3" s="1"/>
  <c r="E11" i="2"/>
  <c r="B11" i="2"/>
  <c r="K8" i="3" s="1"/>
  <c r="E10" i="2"/>
  <c r="B10" i="2"/>
  <c r="K7" i="3" s="1"/>
  <c r="E9" i="2"/>
  <c r="B9" i="2"/>
  <c r="K6" i="3" s="1"/>
  <c r="E8" i="2"/>
  <c r="B8" i="2"/>
  <c r="K5" i="3" s="1"/>
  <c r="E7" i="2"/>
  <c r="B7" i="2"/>
  <c r="K4" i="3" s="1"/>
  <c r="E6" i="2"/>
  <c r="B6" i="2"/>
  <c r="K3" i="3" s="1"/>
  <c r="F13" i="1"/>
  <c r="E30" i="2" l="1"/>
  <c r="C12" i="1" l="1"/>
  <c r="F12" i="1" s="1"/>
  <c r="G6" i="2"/>
  <c r="G7" i="2" s="1"/>
  <c r="C15" i="1"/>
  <c r="C17" i="1" s="1"/>
  <c r="C7" i="3" s="1"/>
  <c r="C13" i="1" l="1"/>
  <c r="C14" i="1" s="1"/>
  <c r="G8" i="2"/>
  <c r="I7" i="2"/>
  <c r="H7" i="2"/>
  <c r="L4" i="3"/>
  <c r="H6" i="2"/>
  <c r="L3" i="3"/>
  <c r="I6" i="2"/>
  <c r="G9" i="2" l="1"/>
  <c r="H8" i="2"/>
  <c r="I8" i="2"/>
  <c r="L5" i="3"/>
  <c r="L6" i="3" l="1"/>
  <c r="G10" i="2"/>
  <c r="H9" i="2"/>
  <c r="I9" i="2"/>
  <c r="L7" i="3" l="1"/>
  <c r="I10" i="2"/>
  <c r="H10" i="2"/>
  <c r="G11" i="2"/>
  <c r="G12" i="2" l="1"/>
  <c r="H11" i="2"/>
  <c r="L8" i="3"/>
  <c r="I11" i="2"/>
  <c r="G13" i="2" l="1"/>
  <c r="L9" i="3"/>
  <c r="I12" i="2"/>
  <c r="H12" i="2"/>
  <c r="G14" i="2" l="1"/>
  <c r="H13" i="2"/>
  <c r="I13" i="2"/>
  <c r="L10" i="3"/>
  <c r="I14" i="2" l="1"/>
  <c r="G15" i="2"/>
  <c r="L11" i="3"/>
  <c r="H14" i="2"/>
  <c r="I15" i="2" l="1"/>
  <c r="L12" i="3"/>
  <c r="G16" i="2"/>
  <c r="H15" i="2"/>
  <c r="I16" i="2" l="1"/>
  <c r="H16" i="2"/>
  <c r="L13" i="3"/>
  <c r="G17" i="2"/>
  <c r="H17" i="2" l="1"/>
  <c r="I17" i="2"/>
  <c r="G18" i="2"/>
  <c r="L14" i="3"/>
  <c r="L15" i="3" l="1"/>
  <c r="I18" i="2"/>
  <c r="H18" i="2"/>
  <c r="G19" i="2"/>
  <c r="G20" i="2" l="1"/>
  <c r="L16" i="3"/>
  <c r="H19" i="2"/>
  <c r="I19" i="2"/>
  <c r="H20" i="2" l="1"/>
  <c r="I20" i="2"/>
  <c r="L17" i="3"/>
  <c r="G21" i="2"/>
  <c r="L18" i="3" l="1"/>
  <c r="H21" i="2"/>
  <c r="I21" i="2"/>
  <c r="G22" i="2"/>
  <c r="I22" i="2" l="1"/>
  <c r="L19" i="3"/>
  <c r="H22" i="2"/>
  <c r="G23" i="2"/>
  <c r="L20" i="3" l="1"/>
  <c r="H23" i="2"/>
  <c r="I23" i="2"/>
  <c r="G24" i="2"/>
  <c r="L21" i="3" l="1"/>
  <c r="H24" i="2"/>
  <c r="I24" i="2"/>
  <c r="G25" i="2"/>
  <c r="H25" i="2" l="1"/>
  <c r="I25" i="2"/>
  <c r="L22" i="3"/>
  <c r="G26" i="2"/>
  <c r="G27" i="2" l="1"/>
  <c r="I26" i="2"/>
  <c r="H26" i="2"/>
  <c r="L23" i="3"/>
  <c r="G28" i="2" l="1"/>
  <c r="L24" i="3"/>
  <c r="H27" i="2"/>
  <c r="I27" i="2"/>
  <c r="G29" i="2" l="1"/>
  <c r="L25" i="3"/>
  <c r="I28" i="2"/>
  <c r="H28" i="2"/>
  <c r="I29" i="2" l="1"/>
  <c r="I30" i="2" s="1"/>
  <c r="F5" i="3"/>
  <c r="H29" i="2"/>
  <c r="H30" i="2" s="1"/>
  <c r="G30" i="2"/>
  <c r="D5" i="3"/>
  <c r="L26" i="3"/>
  <c r="H5" i="3"/>
</calcChain>
</file>

<file path=xl/sharedStrings.xml><?xml version="1.0" encoding="utf-8"?>
<sst xmlns="http://schemas.openxmlformats.org/spreadsheetml/2006/main" count="36" uniqueCount="31">
  <si>
    <t>貯金目標管理付き 家計簿テンプレート（設定）</t>
  </si>
  <si>
    <t>入力</t>
  </si>
  <si>
    <t>貯蓄目標金額（円）</t>
  </si>
  <si>
    <t>現在の貯金額（円）</t>
  </si>
  <si>
    <t>毎月の積立予定額（円）</t>
  </si>
  <si>
    <t>開始月（1日の日付）</t>
  </si>
  <si>
    <t>自動計算（出力）</t>
  </si>
  <si>
    <t>残り必要額（円）</t>
  </si>
  <si>
    <t>達成予定日（毎月積立）</t>
  </si>
  <si>
    <t>進捗率</t>
  </si>
  <si>
    <t>進捗バー</t>
  </si>
  <si>
    <t>月次入力（24か月）</t>
  </si>
  <si>
    <t>月</t>
  </si>
  <si>
    <t>収入合計（円）</t>
  </si>
  <si>
    <t>支出合計（円）</t>
  </si>
  <si>
    <t>収支（円）</t>
  </si>
  <si>
    <t>積立実績（円）</t>
  </si>
  <si>
    <t>累計貯金額（円）</t>
  </si>
  <si>
    <t>合計</t>
  </si>
  <si>
    <t>累計貯金額</t>
  </si>
  <si>
    <t>目標ライン</t>
  </si>
  <si>
    <t>目標金額</t>
  </si>
  <si>
    <t>現在の貯金額</t>
  </si>
  <si>
    <t>残り必要額</t>
  </si>
  <si>
    <t>累計貯金額の推移（目標ライン付き）</t>
  </si>
  <si>
    <t>目標達成予定日</t>
    <rPh sb="4" eb="7">
      <t>ヨテイビ</t>
    </rPh>
    <phoneticPr fontId="11"/>
  </si>
  <si>
    <t>実際の達成までの月数</t>
    <rPh sb="0" eb="2">
      <t>ジッサイ</t>
    </rPh>
    <phoneticPr fontId="11"/>
  </si>
  <si>
    <r>
      <rPr>
        <b/>
        <sz val="11"/>
        <color rgb="FFFFFFFF"/>
        <rFont val="ＭＳ Ｐゴシック"/>
        <family val="2"/>
      </rPr>
      <t>目標額</t>
    </r>
    <rPh sb="0" eb="3">
      <t>モクヒョウガク</t>
    </rPh>
    <phoneticPr fontId="11"/>
  </si>
  <si>
    <t>目標達成予定日までの残り月数</t>
    <phoneticPr fontId="11"/>
  </si>
  <si>
    <t>目標達成予定日までの必要積立額</t>
    <rPh sb="0" eb="2">
      <t>モクヒョウ</t>
    </rPh>
    <rPh sb="2" eb="7">
      <t>タッセイヨテイビ</t>
    </rPh>
    <phoneticPr fontId="11"/>
  </si>
  <si>
    <t>貯金目標管理付き家計簿テンプレート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</si>
</sst>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7" formatCode="0.0%"/>
    <numFmt numFmtId="178" formatCode="yyyy\-mm"/>
    <numFmt numFmtId="184" formatCode="General&quot;か月&quot;"/>
  </numFmts>
  <fonts count="15" x14ac:knownFonts="1">
    <font>
      <sz val="11"/>
      <color theme="1"/>
      <name val="ＭＳ Ｐゴシック"/>
      <family val="2"/>
      <scheme val="minor"/>
    </font>
    <font>
      <b/>
      <sz val="16"/>
      <color rgb="FFFFFFFF"/>
      <name val="Calibri"/>
      <family val="2"/>
    </font>
    <font>
      <b/>
      <sz val="12"/>
      <color rgb="FFFFFFFF"/>
      <name val="Calibri"/>
      <family val="2"/>
    </font>
    <font>
      <b/>
      <sz val="11"/>
      <color rgb="FF1F2937"/>
      <name val="Calibri"/>
      <family val="2"/>
    </font>
    <font>
      <sz val="11"/>
      <color rgb="FF111827"/>
      <name val="Calibri"/>
      <family val="2"/>
    </font>
    <font>
      <sz val="12"/>
      <color rgb="FF111827"/>
      <name val="Consolas"/>
      <family val="3"/>
    </font>
    <font>
      <b/>
      <sz val="11"/>
      <color rgb="FFFFFFFF"/>
      <name val="Calibri"/>
      <family val="2"/>
    </font>
    <font>
      <b/>
      <sz val="11"/>
      <color rgb="FF111827"/>
      <name val="Calibri"/>
      <family val="2"/>
    </font>
    <font>
      <b/>
      <sz val="20"/>
      <color rgb="FF111827"/>
      <name val="Calibri"/>
      <family val="2"/>
    </font>
    <font>
      <sz val="14"/>
      <name val="Consolas"/>
      <family val="3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rgb="FF1F2937"/>
      <name val="ＭＳ ゴシック"/>
      <family val="3"/>
      <charset val="128"/>
    </font>
    <font>
      <b/>
      <sz val="11"/>
      <color rgb="FFFFFFFF"/>
      <name val="ＭＳ Ｐゴシック"/>
      <family val="2"/>
    </font>
    <font>
      <b/>
      <sz val="16"/>
      <color rgb="FFFFFFFF"/>
      <name val="ＭＳ 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111827"/>
      </patternFill>
    </fill>
    <fill>
      <patternFill patternType="solid">
        <fgColor rgb="FF1F2937"/>
      </patternFill>
    </fill>
    <fill>
      <patternFill patternType="solid">
        <fgColor rgb="FFE5F3FF"/>
      </patternFill>
    </fill>
    <fill>
      <patternFill patternType="solid">
        <fgColor rgb="FFECFDF5"/>
      </patternFill>
    </fill>
    <fill>
      <patternFill patternType="solid">
        <fgColor rgb="FFF9FAFB"/>
      </patternFill>
    </fill>
    <fill>
      <patternFill patternType="solid">
        <fgColor rgb="FFE5E7EB"/>
      </patternFill>
    </fill>
    <fill>
      <patternFill patternType="solid">
        <fgColor rgb="FFD1FAE5"/>
      </patternFill>
    </fill>
  </fills>
  <borders count="6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 style="thin">
        <color rgb="FFD1D5DB"/>
      </bottom>
      <diagonal/>
    </border>
    <border>
      <left style="thin">
        <color rgb="FFD1D5DB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6" fontId="10" fillId="0" borderId="0" applyFont="0" applyFill="0" applyBorder="0" applyAlignment="0" applyProtection="0">
      <alignment vertical="center"/>
    </xf>
  </cellStyleXfs>
  <cellXfs count="35">
    <xf numFmtId="0" fontId="0" fillId="0" borderId="0" xfId="0"/>
    <xf numFmtId="0" fontId="3" fillId="0" borderId="0" xfId="0" applyFont="1" applyAlignment="1">
      <alignment horizontal="left" vertical="center"/>
    </xf>
    <xf numFmtId="177" fontId="4" fillId="5" borderId="1" xfId="0" applyNumberFormat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5" borderId="1" xfId="0" applyNumberForma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177" fontId="0" fillId="8" borderId="1" xfId="0" applyNumberFormat="1" applyFill="1" applyBorder="1" applyAlignment="1">
      <alignment horizontal="center" vertical="center"/>
    </xf>
    <xf numFmtId="178" fontId="0" fillId="0" borderId="1" xfId="0" applyNumberFormat="1" applyBorder="1"/>
    <xf numFmtId="0" fontId="0" fillId="0" borderId="1" xfId="0" applyBorder="1"/>
    <xf numFmtId="0" fontId="3" fillId="6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0" fillId="0" borderId="0" xfId="0"/>
    <xf numFmtId="0" fontId="5" fillId="6" borderId="1" xfId="0" applyFont="1" applyFill="1" applyBorder="1" applyAlignment="1">
      <alignment horizontal="left" vertical="center"/>
    </xf>
    <xf numFmtId="0" fontId="0" fillId="0" borderId="3" xfId="0" applyBorder="1"/>
    <xf numFmtId="0" fontId="0" fillId="0" borderId="2" xfId="0" applyBorder="1"/>
    <xf numFmtId="0" fontId="1" fillId="2" borderId="0" xfId="0" applyFont="1" applyFill="1" applyAlignment="1">
      <alignment horizontal="left" vertical="center"/>
    </xf>
    <xf numFmtId="3" fontId="8" fillId="6" borderId="1" xfId="0" applyNumberFormat="1" applyFont="1" applyFill="1" applyBorder="1" applyAlignment="1">
      <alignment horizontal="center" vertical="center"/>
    </xf>
    <xf numFmtId="177" fontId="8" fillId="6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right" vertical="center"/>
    </xf>
    <xf numFmtId="14" fontId="4" fillId="5" borderId="1" xfId="0" applyNumberFormat="1" applyFont="1" applyFill="1" applyBorder="1" applyAlignment="1">
      <alignment horizontal="right" vertical="center"/>
    </xf>
    <xf numFmtId="6" fontId="4" fillId="5" borderId="1" xfId="1" applyFont="1" applyFill="1" applyBorder="1" applyAlignment="1">
      <alignment horizontal="right" vertical="center"/>
    </xf>
    <xf numFmtId="6" fontId="4" fillId="4" borderId="1" xfId="1" applyFont="1" applyFill="1" applyBorder="1" applyAlignment="1">
      <alignment horizontal="right" vertical="center"/>
    </xf>
    <xf numFmtId="0" fontId="12" fillId="0" borderId="0" xfId="0" applyFont="1" applyAlignment="1">
      <alignment horizontal="left" vertical="center"/>
    </xf>
    <xf numFmtId="184" fontId="4" fillId="5" borderId="1" xfId="0" applyNumberFormat="1" applyFont="1" applyFill="1" applyBorder="1" applyAlignment="1">
      <alignment horizontal="right" vertical="center"/>
    </xf>
    <xf numFmtId="6" fontId="0" fillId="0" borderId="1" xfId="1" applyFont="1" applyBorder="1" applyAlignment="1">
      <alignment horizontal="right" vertical="center"/>
    </xf>
    <xf numFmtId="6" fontId="0" fillId="5" borderId="1" xfId="1" applyFont="1" applyFill="1" applyBorder="1" applyAlignment="1">
      <alignment horizontal="right" vertical="center"/>
    </xf>
    <xf numFmtId="6" fontId="0" fillId="7" borderId="1" xfId="1" applyFont="1" applyFill="1" applyBorder="1" applyAlignment="1">
      <alignment horizontal="right" vertical="center"/>
    </xf>
    <xf numFmtId="6" fontId="0" fillId="8" borderId="1" xfId="1" applyFont="1" applyFill="1" applyBorder="1" applyAlignment="1">
      <alignment horizontal="right" vertical="center"/>
    </xf>
    <xf numFmtId="0" fontId="6" fillId="3" borderId="4" xfId="0" applyFont="1" applyFill="1" applyBorder="1" applyAlignment="1">
      <alignment horizontal="center" vertical="center"/>
    </xf>
    <xf numFmtId="6" fontId="0" fillId="0" borderId="5" xfId="0" applyNumberFormat="1" applyBorder="1"/>
    <xf numFmtId="0" fontId="14" fillId="2" borderId="0" xfId="0" applyFont="1" applyFill="1" applyAlignment="1">
      <alignment horizontal="left" vertical="center"/>
    </xf>
  </cellXfs>
  <cellStyles count="2"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月次入力!$G$5</c:f>
              <c:strCache>
                <c:ptCount val="1"/>
                <c:pt idx="0">
                  <c:v>累計貯金額（円）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月次入力!$B$6:$B$29</c:f>
              <c:numCache>
                <c:formatCode>yyyy\-mm</c:formatCode>
                <c:ptCount val="24"/>
                <c:pt idx="0">
                  <c:v>46054</c:v>
                </c:pt>
                <c:pt idx="1">
                  <c:v>46082</c:v>
                </c:pt>
                <c:pt idx="2">
                  <c:v>46113</c:v>
                </c:pt>
                <c:pt idx="3">
                  <c:v>46143</c:v>
                </c:pt>
                <c:pt idx="4">
                  <c:v>46174</c:v>
                </c:pt>
                <c:pt idx="5">
                  <c:v>46204</c:v>
                </c:pt>
                <c:pt idx="6">
                  <c:v>46235</c:v>
                </c:pt>
                <c:pt idx="7">
                  <c:v>46266</c:v>
                </c:pt>
                <c:pt idx="8">
                  <c:v>46296</c:v>
                </c:pt>
                <c:pt idx="9">
                  <c:v>46327</c:v>
                </c:pt>
                <c:pt idx="10">
                  <c:v>46357</c:v>
                </c:pt>
                <c:pt idx="11">
                  <c:v>46388</c:v>
                </c:pt>
                <c:pt idx="12">
                  <c:v>46419</c:v>
                </c:pt>
                <c:pt idx="13">
                  <c:v>46447</c:v>
                </c:pt>
                <c:pt idx="14">
                  <c:v>46478</c:v>
                </c:pt>
                <c:pt idx="15">
                  <c:v>46508</c:v>
                </c:pt>
                <c:pt idx="16">
                  <c:v>46539</c:v>
                </c:pt>
                <c:pt idx="17">
                  <c:v>46569</c:v>
                </c:pt>
                <c:pt idx="18">
                  <c:v>46600</c:v>
                </c:pt>
                <c:pt idx="19">
                  <c:v>46631</c:v>
                </c:pt>
                <c:pt idx="20">
                  <c:v>46661</c:v>
                </c:pt>
                <c:pt idx="21">
                  <c:v>46692</c:v>
                </c:pt>
                <c:pt idx="22">
                  <c:v>46722</c:v>
                </c:pt>
                <c:pt idx="23">
                  <c:v>46753</c:v>
                </c:pt>
              </c:numCache>
            </c:numRef>
          </c:cat>
          <c:val>
            <c:numRef>
              <c:f>月次入力!$G$6:$G$29</c:f>
              <c:numCache>
                <c:formatCode>"¥"#,##0_);[Red]\("¥"#,##0\)</c:formatCode>
                <c:ptCount val="24"/>
                <c:pt idx="0">
                  <c:v>250000</c:v>
                </c:pt>
                <c:pt idx="1">
                  <c:v>330000</c:v>
                </c:pt>
                <c:pt idx="2">
                  <c:v>410000</c:v>
                </c:pt>
                <c:pt idx="3">
                  <c:v>410000</c:v>
                </c:pt>
                <c:pt idx="4">
                  <c:v>410000</c:v>
                </c:pt>
                <c:pt idx="5">
                  <c:v>410000</c:v>
                </c:pt>
                <c:pt idx="6">
                  <c:v>410000</c:v>
                </c:pt>
                <c:pt idx="7">
                  <c:v>410000</c:v>
                </c:pt>
                <c:pt idx="8">
                  <c:v>410000</c:v>
                </c:pt>
                <c:pt idx="9">
                  <c:v>410000</c:v>
                </c:pt>
                <c:pt idx="10">
                  <c:v>410000</c:v>
                </c:pt>
                <c:pt idx="11">
                  <c:v>410000</c:v>
                </c:pt>
                <c:pt idx="12">
                  <c:v>410000</c:v>
                </c:pt>
                <c:pt idx="13">
                  <c:v>410000</c:v>
                </c:pt>
                <c:pt idx="14">
                  <c:v>410000</c:v>
                </c:pt>
                <c:pt idx="15">
                  <c:v>410000</c:v>
                </c:pt>
                <c:pt idx="16">
                  <c:v>410000</c:v>
                </c:pt>
                <c:pt idx="17">
                  <c:v>410000</c:v>
                </c:pt>
                <c:pt idx="18">
                  <c:v>410000</c:v>
                </c:pt>
                <c:pt idx="19">
                  <c:v>410000</c:v>
                </c:pt>
                <c:pt idx="20">
                  <c:v>410000</c:v>
                </c:pt>
                <c:pt idx="21">
                  <c:v>410000</c:v>
                </c:pt>
                <c:pt idx="22">
                  <c:v>410000</c:v>
                </c:pt>
                <c:pt idx="23">
                  <c:v>410000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DF-428A-BE85-B7B83265B86E}"/>
            </c:ext>
          </c:extLst>
        </c:ser>
        <c:ser>
          <c:idx val="1"/>
          <c:order val="1"/>
          <c:tx>
            <c:strRef>
              <c:f>月次入力!$H$5</c:f>
              <c:strCache>
                <c:ptCount val="1"/>
                <c:pt idx="0">
                  <c:v>残り必要額（円）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月次入力!$B$6:$B$29</c:f>
              <c:numCache>
                <c:formatCode>yyyy\-mm</c:formatCode>
                <c:ptCount val="24"/>
                <c:pt idx="0">
                  <c:v>46054</c:v>
                </c:pt>
                <c:pt idx="1">
                  <c:v>46082</c:v>
                </c:pt>
                <c:pt idx="2">
                  <c:v>46113</c:v>
                </c:pt>
                <c:pt idx="3">
                  <c:v>46143</c:v>
                </c:pt>
                <c:pt idx="4">
                  <c:v>46174</c:v>
                </c:pt>
                <c:pt idx="5">
                  <c:v>46204</c:v>
                </c:pt>
                <c:pt idx="6">
                  <c:v>46235</c:v>
                </c:pt>
                <c:pt idx="7">
                  <c:v>46266</c:v>
                </c:pt>
                <c:pt idx="8">
                  <c:v>46296</c:v>
                </c:pt>
                <c:pt idx="9">
                  <c:v>46327</c:v>
                </c:pt>
                <c:pt idx="10">
                  <c:v>46357</c:v>
                </c:pt>
                <c:pt idx="11">
                  <c:v>46388</c:v>
                </c:pt>
                <c:pt idx="12">
                  <c:v>46419</c:v>
                </c:pt>
                <c:pt idx="13">
                  <c:v>46447</c:v>
                </c:pt>
                <c:pt idx="14">
                  <c:v>46478</c:v>
                </c:pt>
                <c:pt idx="15">
                  <c:v>46508</c:v>
                </c:pt>
                <c:pt idx="16">
                  <c:v>46539</c:v>
                </c:pt>
                <c:pt idx="17">
                  <c:v>46569</c:v>
                </c:pt>
                <c:pt idx="18">
                  <c:v>46600</c:v>
                </c:pt>
                <c:pt idx="19">
                  <c:v>46631</c:v>
                </c:pt>
                <c:pt idx="20">
                  <c:v>46661</c:v>
                </c:pt>
                <c:pt idx="21">
                  <c:v>46692</c:v>
                </c:pt>
                <c:pt idx="22">
                  <c:v>46722</c:v>
                </c:pt>
                <c:pt idx="23">
                  <c:v>46753</c:v>
                </c:pt>
              </c:numCache>
            </c:numRef>
          </c:cat>
          <c:val>
            <c:numRef>
              <c:f>月次入力!$H$6:$H$29</c:f>
              <c:numCache>
                <c:formatCode>"¥"#,##0_);[Red]\("¥"#,##0\)</c:formatCode>
                <c:ptCount val="24"/>
                <c:pt idx="0">
                  <c:v>750000</c:v>
                </c:pt>
                <c:pt idx="1">
                  <c:v>670000</c:v>
                </c:pt>
                <c:pt idx="2">
                  <c:v>590000</c:v>
                </c:pt>
                <c:pt idx="3">
                  <c:v>590000</c:v>
                </c:pt>
                <c:pt idx="4">
                  <c:v>590000</c:v>
                </c:pt>
                <c:pt idx="5">
                  <c:v>590000</c:v>
                </c:pt>
                <c:pt idx="6">
                  <c:v>590000</c:v>
                </c:pt>
                <c:pt idx="7">
                  <c:v>590000</c:v>
                </c:pt>
                <c:pt idx="8">
                  <c:v>590000</c:v>
                </c:pt>
                <c:pt idx="9">
                  <c:v>590000</c:v>
                </c:pt>
                <c:pt idx="10">
                  <c:v>590000</c:v>
                </c:pt>
                <c:pt idx="11">
                  <c:v>590000</c:v>
                </c:pt>
                <c:pt idx="12">
                  <c:v>590000</c:v>
                </c:pt>
                <c:pt idx="13">
                  <c:v>590000</c:v>
                </c:pt>
                <c:pt idx="14">
                  <c:v>590000</c:v>
                </c:pt>
                <c:pt idx="15">
                  <c:v>590000</c:v>
                </c:pt>
                <c:pt idx="16">
                  <c:v>590000</c:v>
                </c:pt>
                <c:pt idx="17">
                  <c:v>590000</c:v>
                </c:pt>
                <c:pt idx="18">
                  <c:v>590000</c:v>
                </c:pt>
                <c:pt idx="19">
                  <c:v>590000</c:v>
                </c:pt>
                <c:pt idx="20">
                  <c:v>590000</c:v>
                </c:pt>
                <c:pt idx="21">
                  <c:v>590000</c:v>
                </c:pt>
                <c:pt idx="22">
                  <c:v>590000</c:v>
                </c:pt>
                <c:pt idx="23">
                  <c:v>590000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DF-428A-BE85-B7B83265B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84498496"/>
        <c:axId val="1584493696"/>
      </c:barChart>
      <c:lineChart>
        <c:grouping val="standard"/>
        <c:varyColors val="0"/>
        <c:ser>
          <c:idx val="3"/>
          <c:order val="3"/>
          <c:tx>
            <c:strRef>
              <c:f>月次入力!$K$5</c:f>
              <c:strCache>
                <c:ptCount val="1"/>
                <c:pt idx="0">
                  <c:v>目標額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月次入力!$K$6:$K$29</c:f>
              <c:numCache>
                <c:formatCode>"¥"#,##0_);[Red]\("¥"#,##0\)</c:formatCode>
                <c:ptCount val="24"/>
                <c:pt idx="0">
                  <c:v>1000000</c:v>
                </c:pt>
                <c:pt idx="1">
                  <c:v>1000000</c:v>
                </c:pt>
                <c:pt idx="2">
                  <c:v>1000000</c:v>
                </c:pt>
                <c:pt idx="3">
                  <c:v>1000000</c:v>
                </c:pt>
                <c:pt idx="4">
                  <c:v>1000000</c:v>
                </c:pt>
                <c:pt idx="5">
                  <c:v>1000000</c:v>
                </c:pt>
                <c:pt idx="6">
                  <c:v>1000000</c:v>
                </c:pt>
                <c:pt idx="7">
                  <c:v>1000000</c:v>
                </c:pt>
                <c:pt idx="8">
                  <c:v>1000000</c:v>
                </c:pt>
                <c:pt idx="9">
                  <c:v>1000000</c:v>
                </c:pt>
                <c:pt idx="10">
                  <c:v>1000000</c:v>
                </c:pt>
                <c:pt idx="11">
                  <c:v>1000000</c:v>
                </c:pt>
                <c:pt idx="12">
                  <c:v>1000000</c:v>
                </c:pt>
                <c:pt idx="13">
                  <c:v>1000000</c:v>
                </c:pt>
                <c:pt idx="14">
                  <c:v>1000000</c:v>
                </c:pt>
                <c:pt idx="15">
                  <c:v>1000000</c:v>
                </c:pt>
                <c:pt idx="16">
                  <c:v>1000000</c:v>
                </c:pt>
                <c:pt idx="17">
                  <c:v>1000000</c:v>
                </c:pt>
                <c:pt idx="18">
                  <c:v>1000000</c:v>
                </c:pt>
                <c:pt idx="19">
                  <c:v>1000000</c:v>
                </c:pt>
                <c:pt idx="20">
                  <c:v>1000000</c:v>
                </c:pt>
                <c:pt idx="21">
                  <c:v>1000000</c:v>
                </c:pt>
                <c:pt idx="22">
                  <c:v>1000000</c:v>
                </c:pt>
                <c:pt idx="23">
                  <c:v>1000000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EDF-428A-BE85-B7B83265B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84498496"/>
        <c:axId val="1584493696"/>
      </c:lineChart>
      <c:lineChart>
        <c:grouping val="standard"/>
        <c:varyColors val="0"/>
        <c:ser>
          <c:idx val="2"/>
          <c:order val="2"/>
          <c:tx>
            <c:strRef>
              <c:f>月次入力!$I$5</c:f>
              <c:strCache>
                <c:ptCount val="1"/>
                <c:pt idx="0">
                  <c:v>進捗率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月次入力!$B$6:$B$29</c:f>
              <c:numCache>
                <c:formatCode>yyyy\-mm</c:formatCode>
                <c:ptCount val="24"/>
                <c:pt idx="0">
                  <c:v>46054</c:v>
                </c:pt>
                <c:pt idx="1">
                  <c:v>46082</c:v>
                </c:pt>
                <c:pt idx="2">
                  <c:v>46113</c:v>
                </c:pt>
                <c:pt idx="3">
                  <c:v>46143</c:v>
                </c:pt>
                <c:pt idx="4">
                  <c:v>46174</c:v>
                </c:pt>
                <c:pt idx="5">
                  <c:v>46204</c:v>
                </c:pt>
                <c:pt idx="6">
                  <c:v>46235</c:v>
                </c:pt>
                <c:pt idx="7">
                  <c:v>46266</c:v>
                </c:pt>
                <c:pt idx="8">
                  <c:v>46296</c:v>
                </c:pt>
                <c:pt idx="9">
                  <c:v>46327</c:v>
                </c:pt>
                <c:pt idx="10">
                  <c:v>46357</c:v>
                </c:pt>
                <c:pt idx="11">
                  <c:v>46388</c:v>
                </c:pt>
                <c:pt idx="12">
                  <c:v>46419</c:v>
                </c:pt>
                <c:pt idx="13">
                  <c:v>46447</c:v>
                </c:pt>
                <c:pt idx="14">
                  <c:v>46478</c:v>
                </c:pt>
                <c:pt idx="15">
                  <c:v>46508</c:v>
                </c:pt>
                <c:pt idx="16">
                  <c:v>46539</c:v>
                </c:pt>
                <c:pt idx="17">
                  <c:v>46569</c:v>
                </c:pt>
                <c:pt idx="18">
                  <c:v>46600</c:v>
                </c:pt>
                <c:pt idx="19">
                  <c:v>46631</c:v>
                </c:pt>
                <c:pt idx="20">
                  <c:v>46661</c:v>
                </c:pt>
                <c:pt idx="21">
                  <c:v>46692</c:v>
                </c:pt>
                <c:pt idx="22">
                  <c:v>46722</c:v>
                </c:pt>
                <c:pt idx="23">
                  <c:v>46753</c:v>
                </c:pt>
              </c:numCache>
            </c:numRef>
          </c:cat>
          <c:val>
            <c:numRef>
              <c:f>月次入力!$I$6:$I$29</c:f>
              <c:numCache>
                <c:formatCode>0.0%</c:formatCode>
                <c:ptCount val="24"/>
                <c:pt idx="0">
                  <c:v>0.25</c:v>
                </c:pt>
                <c:pt idx="1">
                  <c:v>0.33</c:v>
                </c:pt>
                <c:pt idx="2">
                  <c:v>0.41</c:v>
                </c:pt>
                <c:pt idx="3">
                  <c:v>0.41</c:v>
                </c:pt>
                <c:pt idx="4">
                  <c:v>0.41</c:v>
                </c:pt>
                <c:pt idx="5">
                  <c:v>0.41</c:v>
                </c:pt>
                <c:pt idx="6">
                  <c:v>0.41</c:v>
                </c:pt>
                <c:pt idx="7">
                  <c:v>0.41</c:v>
                </c:pt>
                <c:pt idx="8">
                  <c:v>0.41</c:v>
                </c:pt>
                <c:pt idx="9">
                  <c:v>0.41</c:v>
                </c:pt>
                <c:pt idx="10">
                  <c:v>0.41</c:v>
                </c:pt>
                <c:pt idx="11">
                  <c:v>0.41</c:v>
                </c:pt>
                <c:pt idx="12">
                  <c:v>0.41</c:v>
                </c:pt>
                <c:pt idx="13">
                  <c:v>0.41</c:v>
                </c:pt>
                <c:pt idx="14">
                  <c:v>0.41</c:v>
                </c:pt>
                <c:pt idx="15">
                  <c:v>0.41</c:v>
                </c:pt>
                <c:pt idx="16">
                  <c:v>0.41</c:v>
                </c:pt>
                <c:pt idx="17">
                  <c:v>0.41</c:v>
                </c:pt>
                <c:pt idx="18">
                  <c:v>0.41</c:v>
                </c:pt>
                <c:pt idx="19">
                  <c:v>0.41</c:v>
                </c:pt>
                <c:pt idx="20">
                  <c:v>0.41</c:v>
                </c:pt>
                <c:pt idx="21">
                  <c:v>0.41</c:v>
                </c:pt>
                <c:pt idx="22">
                  <c:v>0.41</c:v>
                </c:pt>
                <c:pt idx="23">
                  <c:v>0.41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EDF-428A-BE85-B7B83265B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4581872"/>
        <c:axId val="1334587632"/>
      </c:lineChart>
      <c:dateAx>
        <c:axId val="1584498496"/>
        <c:scaling>
          <c:orientation val="minMax"/>
        </c:scaling>
        <c:delete val="0"/>
        <c:axPos val="b"/>
        <c:numFmt formatCode="yyyy\-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584493696"/>
        <c:crosses val="autoZero"/>
        <c:auto val="1"/>
        <c:lblOffset val="100"/>
        <c:baseTimeUnit val="months"/>
      </c:dateAx>
      <c:valAx>
        <c:axId val="1584493696"/>
        <c:scaling>
          <c:orientation val="minMax"/>
          <c:max val="11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¥&quot;#,##0_);[Red]\(&quot;¥&quot;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584498496"/>
        <c:crosses val="autoZero"/>
        <c:crossBetween val="between"/>
        <c:majorUnit val="100000"/>
      </c:valAx>
      <c:valAx>
        <c:axId val="1334587632"/>
        <c:scaling>
          <c:orientation val="minMax"/>
          <c:max val="1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34581872"/>
        <c:crosses val="max"/>
        <c:crossBetween val="between"/>
      </c:valAx>
      <c:dateAx>
        <c:axId val="1334581872"/>
        <c:scaling>
          <c:orientation val="minMax"/>
        </c:scaling>
        <c:delete val="1"/>
        <c:axPos val="b"/>
        <c:numFmt formatCode="yyyy\-mm" sourceLinked="1"/>
        <c:majorTickMark val="out"/>
        <c:minorTickMark val="none"/>
        <c:tickLblPos val="nextTo"/>
        <c:crossAx val="1334587632"/>
        <c:crosses val="autoZero"/>
        <c:auto val="1"/>
        <c:lblOffset val="100"/>
        <c:baseTimeUnit val="month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259080</xdr:colOff>
      <xdr:row>9</xdr:row>
      <xdr:rowOff>76200</xdr:rowOff>
    </xdr:from>
    <xdr:to>
      <xdr:col>13</xdr:col>
      <xdr:colOff>60960</xdr:colOff>
      <xdr:row>38</xdr:row>
      <xdr:rowOff>76200</xdr:rowOff>
    </xdr:to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E3A8FCBB-6408-480F-B72F-CBA8319E51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M26"/>
  <sheetViews>
    <sheetView showGridLines="0" zoomScale="80" zoomScaleNormal="80" workbookViewId="0">
      <pane ySplit="9" topLeftCell="A10" activePane="bottomLeft" state="frozen"/>
      <selection pane="bottomLeft" activeCell="R18" sqref="R18"/>
    </sheetView>
  </sheetViews>
  <sheetFormatPr defaultRowHeight="13.2" x14ac:dyDescent="0.2"/>
  <cols>
    <col min="1" max="1" width="3.21875" customWidth="1"/>
    <col min="2" max="9" width="14" customWidth="1"/>
    <col min="10" max="10" width="2" hidden="1" customWidth="1"/>
    <col min="11" max="11" width="10" hidden="1" customWidth="1"/>
    <col min="12" max="12" width="14" hidden="1" customWidth="1"/>
    <col min="13" max="13" width="12" hidden="1" customWidth="1"/>
  </cols>
  <sheetData>
    <row r="2" spans="2:13" ht="31.95" customHeight="1" x14ac:dyDescent="0.2">
      <c r="B2" s="34" t="s">
        <v>30</v>
      </c>
      <c r="C2" s="12"/>
      <c r="D2" s="12"/>
      <c r="E2" s="12"/>
      <c r="F2" s="12"/>
      <c r="G2" s="12"/>
      <c r="H2" s="12"/>
      <c r="I2" s="12"/>
      <c r="K2" t="s">
        <v>12</v>
      </c>
      <c r="L2" t="s">
        <v>19</v>
      </c>
      <c r="M2" t="s">
        <v>20</v>
      </c>
    </row>
    <row r="3" spans="2:13" x14ac:dyDescent="0.2">
      <c r="K3" s="8">
        <f>月次入力!B6</f>
        <v>46054</v>
      </c>
      <c r="L3" s="9">
        <f>月次入力!G6</f>
        <v>250000</v>
      </c>
      <c r="M3" s="9">
        <f>設定!$C$5</f>
        <v>1000000</v>
      </c>
    </row>
    <row r="4" spans="2:13" ht="22.05" customHeight="1" x14ac:dyDescent="0.2">
      <c r="B4" s="21" t="s">
        <v>21</v>
      </c>
      <c r="C4" s="15"/>
      <c r="D4" s="21" t="s">
        <v>22</v>
      </c>
      <c r="E4" s="15"/>
      <c r="F4" s="21" t="s">
        <v>23</v>
      </c>
      <c r="G4" s="15"/>
      <c r="H4" s="21" t="s">
        <v>9</v>
      </c>
      <c r="I4" s="15"/>
      <c r="K4" s="8">
        <f>月次入力!B7</f>
        <v>46082</v>
      </c>
      <c r="L4" s="9">
        <f>月次入力!G7</f>
        <v>330000</v>
      </c>
      <c r="M4" s="9">
        <f>設定!$C$5</f>
        <v>1000000</v>
      </c>
    </row>
    <row r="5" spans="2:13" ht="36" customHeight="1" x14ac:dyDescent="0.2">
      <c r="B5" s="17">
        <f>設定!$C$5</f>
        <v>1000000</v>
      </c>
      <c r="C5" s="15"/>
      <c r="D5" s="17">
        <f>月次入力!G29</f>
        <v>410000</v>
      </c>
      <c r="E5" s="15"/>
      <c r="F5" s="17">
        <f>MAX(0,設定!$C$5-月次入力!G29)</f>
        <v>590000</v>
      </c>
      <c r="G5" s="15"/>
      <c r="H5" s="18">
        <f>IF(設定!$C$5=0,"",MIN(1,月次入力!G29/設定!$C$5))</f>
        <v>0.41</v>
      </c>
      <c r="I5" s="15"/>
      <c r="K5" s="8">
        <f>月次入力!B8</f>
        <v>46113</v>
      </c>
      <c r="L5" s="9">
        <f>月次入力!G8</f>
        <v>410000</v>
      </c>
      <c r="M5" s="9">
        <f>設定!$C$5</f>
        <v>1000000</v>
      </c>
    </row>
    <row r="6" spans="2:13" x14ac:dyDescent="0.2">
      <c r="K6" s="8">
        <f>月次入力!B9</f>
        <v>46143</v>
      </c>
      <c r="L6" s="9">
        <f>月次入力!G9</f>
        <v>410000</v>
      </c>
      <c r="M6" s="9">
        <f>設定!$C$5</f>
        <v>1000000</v>
      </c>
    </row>
    <row r="7" spans="2:13" ht="24" customHeight="1" x14ac:dyDescent="0.2">
      <c r="B7" s="10" t="s">
        <v>10</v>
      </c>
      <c r="C7" s="20" t="str">
        <f>設定!$C$17</f>
        <v>████░░░░░░░░░░░░░░░░</v>
      </c>
      <c r="D7" s="14"/>
      <c r="E7" s="14"/>
      <c r="F7" s="14"/>
      <c r="G7" s="14"/>
      <c r="H7" s="14"/>
      <c r="I7" s="15"/>
      <c r="K7" s="8">
        <f>月次入力!B10</f>
        <v>46174</v>
      </c>
      <c r="L7" s="9">
        <f>月次入力!G10</f>
        <v>410000</v>
      </c>
      <c r="M7" s="9">
        <f>設定!$C$5</f>
        <v>1000000</v>
      </c>
    </row>
    <row r="8" spans="2:13" x14ac:dyDescent="0.2">
      <c r="K8" s="8">
        <f>月次入力!B11</f>
        <v>46204</v>
      </c>
      <c r="L8" s="9">
        <f>月次入力!G11</f>
        <v>410000</v>
      </c>
      <c r="M8" s="9">
        <f>設定!$C$5</f>
        <v>1000000</v>
      </c>
    </row>
    <row r="9" spans="2:13" ht="18" customHeight="1" x14ac:dyDescent="0.2">
      <c r="B9" s="19" t="s">
        <v>24</v>
      </c>
      <c r="C9" s="12"/>
      <c r="D9" s="12"/>
      <c r="E9" s="12"/>
      <c r="F9" s="12"/>
      <c r="G9" s="12"/>
      <c r="H9" s="12"/>
      <c r="I9" s="12"/>
      <c r="K9" s="8">
        <f>月次入力!B12</f>
        <v>46235</v>
      </c>
      <c r="L9" s="9">
        <f>月次入力!G12</f>
        <v>410000</v>
      </c>
      <c r="M9" s="9">
        <f>設定!$C$5</f>
        <v>1000000</v>
      </c>
    </row>
    <row r="10" spans="2:13" x14ac:dyDescent="0.2">
      <c r="K10" s="8">
        <f>月次入力!B13</f>
        <v>46266</v>
      </c>
      <c r="L10" s="9">
        <f>月次入力!G13</f>
        <v>410000</v>
      </c>
      <c r="M10" s="9">
        <f>設定!$C$5</f>
        <v>1000000</v>
      </c>
    </row>
    <row r="11" spans="2:13" x14ac:dyDescent="0.2">
      <c r="K11" s="8">
        <f>月次入力!B14</f>
        <v>46296</v>
      </c>
      <c r="L11" s="9">
        <f>月次入力!G14</f>
        <v>410000</v>
      </c>
      <c r="M11" s="9">
        <f>設定!$C$5</f>
        <v>1000000</v>
      </c>
    </row>
    <row r="12" spans="2:13" x14ac:dyDescent="0.2">
      <c r="K12" s="8">
        <f>月次入力!B15</f>
        <v>46327</v>
      </c>
      <c r="L12" s="9">
        <f>月次入力!G15</f>
        <v>410000</v>
      </c>
      <c r="M12" s="9">
        <f>設定!$C$5</f>
        <v>1000000</v>
      </c>
    </row>
    <row r="13" spans="2:13" x14ac:dyDescent="0.2">
      <c r="K13" s="8">
        <f>月次入力!B16</f>
        <v>46357</v>
      </c>
      <c r="L13" s="9">
        <f>月次入力!G16</f>
        <v>410000</v>
      </c>
      <c r="M13" s="9">
        <f>設定!$C$5</f>
        <v>1000000</v>
      </c>
    </row>
    <row r="14" spans="2:13" x14ac:dyDescent="0.2">
      <c r="K14" s="8">
        <f>月次入力!B17</f>
        <v>46388</v>
      </c>
      <c r="L14" s="9">
        <f>月次入力!G17</f>
        <v>410000</v>
      </c>
      <c r="M14" s="9">
        <f>設定!$C$5</f>
        <v>1000000</v>
      </c>
    </row>
    <row r="15" spans="2:13" x14ac:dyDescent="0.2">
      <c r="K15" s="8">
        <f>月次入力!B18</f>
        <v>46419</v>
      </c>
      <c r="L15" s="9">
        <f>月次入力!G18</f>
        <v>410000</v>
      </c>
      <c r="M15" s="9">
        <f>設定!$C$5</f>
        <v>1000000</v>
      </c>
    </row>
    <row r="16" spans="2:13" x14ac:dyDescent="0.2">
      <c r="K16" s="8">
        <f>月次入力!B19</f>
        <v>46447</v>
      </c>
      <c r="L16" s="9">
        <f>月次入力!G19</f>
        <v>410000</v>
      </c>
      <c r="M16" s="9">
        <f>設定!$C$5</f>
        <v>1000000</v>
      </c>
    </row>
    <row r="17" spans="11:13" x14ac:dyDescent="0.2">
      <c r="K17" s="8">
        <f>月次入力!B20</f>
        <v>46478</v>
      </c>
      <c r="L17" s="9">
        <f>月次入力!G20</f>
        <v>410000</v>
      </c>
      <c r="M17" s="9">
        <f>設定!$C$5</f>
        <v>1000000</v>
      </c>
    </row>
    <row r="18" spans="11:13" x14ac:dyDescent="0.2">
      <c r="K18" s="8">
        <f>月次入力!B21</f>
        <v>46508</v>
      </c>
      <c r="L18" s="9">
        <f>月次入力!G21</f>
        <v>410000</v>
      </c>
      <c r="M18" s="9">
        <f>設定!$C$5</f>
        <v>1000000</v>
      </c>
    </row>
    <row r="19" spans="11:13" x14ac:dyDescent="0.2">
      <c r="K19" s="8">
        <f>月次入力!B22</f>
        <v>46539</v>
      </c>
      <c r="L19" s="9">
        <f>月次入力!G22</f>
        <v>410000</v>
      </c>
      <c r="M19" s="9">
        <f>設定!$C$5</f>
        <v>1000000</v>
      </c>
    </row>
    <row r="20" spans="11:13" x14ac:dyDescent="0.2">
      <c r="K20" s="8">
        <f>月次入力!B23</f>
        <v>46569</v>
      </c>
      <c r="L20" s="9">
        <f>月次入力!G23</f>
        <v>410000</v>
      </c>
      <c r="M20" s="9">
        <f>設定!$C$5</f>
        <v>1000000</v>
      </c>
    </row>
    <row r="21" spans="11:13" x14ac:dyDescent="0.2">
      <c r="K21" s="8">
        <f>月次入力!B24</f>
        <v>46600</v>
      </c>
      <c r="L21" s="9">
        <f>月次入力!G24</f>
        <v>410000</v>
      </c>
      <c r="M21" s="9">
        <f>設定!$C$5</f>
        <v>1000000</v>
      </c>
    </row>
    <row r="22" spans="11:13" x14ac:dyDescent="0.2">
      <c r="K22" s="8">
        <f>月次入力!B25</f>
        <v>46631</v>
      </c>
      <c r="L22" s="9">
        <f>月次入力!G25</f>
        <v>410000</v>
      </c>
      <c r="M22" s="9">
        <f>設定!$C$5</f>
        <v>1000000</v>
      </c>
    </row>
    <row r="23" spans="11:13" x14ac:dyDescent="0.2">
      <c r="K23" s="8">
        <f>月次入力!B26</f>
        <v>46661</v>
      </c>
      <c r="L23" s="9">
        <f>月次入力!G26</f>
        <v>410000</v>
      </c>
      <c r="M23" s="9">
        <f>設定!$C$5</f>
        <v>1000000</v>
      </c>
    </row>
    <row r="24" spans="11:13" x14ac:dyDescent="0.2">
      <c r="K24" s="8">
        <f>月次入力!B27</f>
        <v>46692</v>
      </c>
      <c r="L24" s="9">
        <f>月次入力!G27</f>
        <v>410000</v>
      </c>
      <c r="M24" s="9">
        <f>設定!$C$5</f>
        <v>1000000</v>
      </c>
    </row>
    <row r="25" spans="11:13" x14ac:dyDescent="0.2">
      <c r="K25" s="8">
        <f>月次入力!B28</f>
        <v>46722</v>
      </c>
      <c r="L25" s="9">
        <f>月次入力!G28</f>
        <v>410000</v>
      </c>
      <c r="M25" s="9">
        <f>設定!$C$5</f>
        <v>1000000</v>
      </c>
    </row>
    <row r="26" spans="11:13" x14ac:dyDescent="0.2">
      <c r="K26" s="8">
        <f>月次入力!B29</f>
        <v>46753</v>
      </c>
      <c r="L26" s="9">
        <f>月次入力!G29</f>
        <v>410000</v>
      </c>
      <c r="M26" s="9">
        <f>設定!$C$5</f>
        <v>1000000</v>
      </c>
    </row>
  </sheetData>
  <mergeCells count="11">
    <mergeCell ref="B2:I2"/>
    <mergeCell ref="D4:E4"/>
    <mergeCell ref="B4:C4"/>
    <mergeCell ref="H4:I4"/>
    <mergeCell ref="F4:G4"/>
    <mergeCell ref="B5:C5"/>
    <mergeCell ref="H5:I5"/>
    <mergeCell ref="F5:G5"/>
    <mergeCell ref="B9:I9"/>
    <mergeCell ref="C7:I7"/>
    <mergeCell ref="D5:E5"/>
  </mergeCells>
  <phoneticPr fontId="11"/>
  <printOptions horizontalCentered="1"/>
  <pageMargins left="0.75" right="0.75" top="1" bottom="1" header="0.5" footer="0.5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7"/>
  <sheetViews>
    <sheetView showGridLines="0" workbookViewId="0">
      <selection activeCell="E21" sqref="E21"/>
    </sheetView>
  </sheetViews>
  <sheetFormatPr defaultRowHeight="13.2" x14ac:dyDescent="0.2"/>
  <cols>
    <col min="2" max="2" width="30" customWidth="1"/>
    <col min="3" max="3" width="18" customWidth="1"/>
    <col min="4" max="4" width="2" customWidth="1"/>
    <col min="5" max="5" width="35.44140625" bestFit="1" customWidth="1"/>
    <col min="6" max="6" width="18" customWidth="1"/>
    <col min="7" max="7" width="2" customWidth="1"/>
  </cols>
  <sheetData>
    <row r="2" spans="2:7" ht="31.95" customHeight="1" x14ac:dyDescent="0.2">
      <c r="B2" s="16" t="s">
        <v>0</v>
      </c>
      <c r="C2" s="12"/>
      <c r="D2" s="12"/>
      <c r="E2" s="12"/>
      <c r="F2" s="12"/>
      <c r="G2" s="12"/>
    </row>
    <row r="4" spans="2:7" ht="22.05" customHeight="1" x14ac:dyDescent="0.2">
      <c r="B4" s="11" t="s">
        <v>1</v>
      </c>
      <c r="C4" s="12"/>
      <c r="D4" s="12"/>
      <c r="E4" s="12"/>
      <c r="F4" s="12"/>
      <c r="G4" s="12"/>
    </row>
    <row r="5" spans="2:7" ht="14.4" x14ac:dyDescent="0.2">
      <c r="B5" s="1" t="s">
        <v>2</v>
      </c>
      <c r="C5" s="25">
        <v>1000000</v>
      </c>
    </row>
    <row r="6" spans="2:7" ht="14.4" x14ac:dyDescent="0.2">
      <c r="B6" s="1" t="s">
        <v>3</v>
      </c>
      <c r="C6" s="25">
        <v>200000</v>
      </c>
    </row>
    <row r="7" spans="2:7" ht="14.4" x14ac:dyDescent="0.2">
      <c r="B7" s="1" t="s">
        <v>4</v>
      </c>
      <c r="C7" s="25">
        <v>30000</v>
      </c>
    </row>
    <row r="8" spans="2:7" ht="14.4" x14ac:dyDescent="0.2">
      <c r="B8" s="1" t="s">
        <v>5</v>
      </c>
      <c r="C8" s="22">
        <v>46054</v>
      </c>
    </row>
    <row r="9" spans="2:7" ht="14.4" x14ac:dyDescent="0.2">
      <c r="B9" s="26" t="s">
        <v>25</v>
      </c>
      <c r="C9" s="22">
        <v>46387</v>
      </c>
    </row>
    <row r="11" spans="2:7" ht="22.05" customHeight="1" x14ac:dyDescent="0.2">
      <c r="B11" s="11" t="s">
        <v>6</v>
      </c>
      <c r="C11" s="12"/>
      <c r="D11" s="12"/>
      <c r="E11" s="12"/>
      <c r="F11" s="12"/>
      <c r="G11" s="12"/>
    </row>
    <row r="12" spans="2:7" ht="14.4" x14ac:dyDescent="0.2">
      <c r="B12" s="1" t="s">
        <v>7</v>
      </c>
      <c r="C12" s="24">
        <f>MAX(0,$C$5-$C$6)</f>
        <v>800000</v>
      </c>
      <c r="E12" s="26" t="s">
        <v>29</v>
      </c>
      <c r="F12" s="24">
        <f>IF($C$9="","",IF($F$13=0,"",CEILING($C$12/$F$13,1)))</f>
        <v>80000</v>
      </c>
    </row>
    <row r="13" spans="2:7" ht="14.4" x14ac:dyDescent="0.2">
      <c r="B13" s="26" t="s">
        <v>26</v>
      </c>
      <c r="C13" s="27">
        <f>IF($C$7&gt;0,CEILING($C$12/$C$7,1),"")</f>
        <v>27</v>
      </c>
      <c r="E13" s="26" t="s">
        <v>28</v>
      </c>
      <c r="F13" s="27">
        <f>IF($C$9="","",MAX(0,DATEDIF($C$8,$C$9,"m")))</f>
        <v>10</v>
      </c>
    </row>
    <row r="14" spans="2:7" ht="14.4" x14ac:dyDescent="0.2">
      <c r="B14" s="1" t="s">
        <v>8</v>
      </c>
      <c r="C14" s="23">
        <f>IF($C$13="","",EDATE($C$8,$C$13))</f>
        <v>46874</v>
      </c>
    </row>
    <row r="15" spans="2:7" ht="14.4" x14ac:dyDescent="0.2">
      <c r="B15" s="1" t="s">
        <v>9</v>
      </c>
      <c r="C15" s="2">
        <f>IF($C$5=0,"",MIN(1,$C$6/$C$5))</f>
        <v>0.2</v>
      </c>
    </row>
    <row r="17" spans="2:7" ht="15.6" x14ac:dyDescent="0.2">
      <c r="B17" s="1" t="s">
        <v>10</v>
      </c>
      <c r="C17" s="13" t="str">
        <f>REPT("█",ROUND($C$15*20,0))&amp;REPT("░",20-ROUND($C$15*20,0))</f>
        <v>████░░░░░░░░░░░░░░░░</v>
      </c>
      <c r="D17" s="14"/>
      <c r="E17" s="14"/>
      <c r="F17" s="14"/>
      <c r="G17" s="15"/>
    </row>
  </sheetData>
  <mergeCells count="4">
    <mergeCell ref="B11:G11"/>
    <mergeCell ref="C17:G17"/>
    <mergeCell ref="B2:G2"/>
    <mergeCell ref="B4:G4"/>
  </mergeCells>
  <phoneticPr fontId="11"/>
  <printOptions horizontalCentered="1"/>
  <pageMargins left="0.75" right="0.75" top="1" bottom="1" header="0.5" footer="0.5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0"/>
  <sheetViews>
    <sheetView showGridLines="0" tabSelected="1" workbookViewId="0">
      <pane ySplit="5" topLeftCell="A6" activePane="bottomLeft" state="frozen"/>
      <selection pane="bottomLeft" activeCell="C14" sqref="C14"/>
    </sheetView>
  </sheetViews>
  <sheetFormatPr defaultRowHeight="13.2" x14ac:dyDescent="0.2"/>
  <cols>
    <col min="1" max="1" width="3.6640625" customWidth="1"/>
    <col min="2" max="2" width="10" customWidth="1"/>
    <col min="3" max="4" width="16" customWidth="1"/>
    <col min="5" max="5" width="14" customWidth="1"/>
    <col min="6" max="6" width="16.88671875" bestFit="1" customWidth="1"/>
    <col min="7" max="8" width="19.21875" bestFit="1" customWidth="1"/>
    <col min="9" max="9" width="10" customWidth="1"/>
    <col min="10" max="10" width="4.33203125" customWidth="1"/>
    <col min="11" max="11" width="10.6640625" bestFit="1" customWidth="1"/>
  </cols>
  <sheetData>
    <row r="2" spans="2:11" ht="31.95" customHeight="1" x14ac:dyDescent="0.2">
      <c r="B2" s="16" t="s">
        <v>11</v>
      </c>
      <c r="C2" s="12"/>
      <c r="D2" s="12"/>
      <c r="E2" s="12"/>
      <c r="F2" s="12"/>
      <c r="G2" s="12"/>
      <c r="H2" s="12"/>
      <c r="I2" s="12"/>
    </row>
    <row r="5" spans="2:11" ht="22.05" customHeight="1" x14ac:dyDescent="0.2"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7</v>
      </c>
      <c r="I5" s="3" t="s">
        <v>9</v>
      </c>
      <c r="K5" s="32" t="s">
        <v>27</v>
      </c>
    </row>
    <row r="6" spans="2:11" ht="14.4" x14ac:dyDescent="0.2">
      <c r="B6" s="4">
        <f>EDATE(設定!$C$8,0)</f>
        <v>46054</v>
      </c>
      <c r="C6" s="25">
        <v>350000</v>
      </c>
      <c r="D6" s="25">
        <v>280000</v>
      </c>
      <c r="E6" s="28">
        <f t="shared" ref="E6:E29" si="0">IF(C6="",0,C6)-IF(D6="",0,D6)</f>
        <v>70000</v>
      </c>
      <c r="F6" s="25">
        <v>50000</v>
      </c>
      <c r="G6" s="29">
        <f>設定!$C$6+IF(F6="",0,F6)</f>
        <v>250000</v>
      </c>
      <c r="H6" s="29">
        <f>MAX(0,設定!$C$5-G6)</f>
        <v>750000</v>
      </c>
      <c r="I6" s="5">
        <f>IF(設定!$C$5=0,"",MIN(1,G6/設定!$C$5))</f>
        <v>0.25</v>
      </c>
      <c r="K6" s="33">
        <f>設定!$C$5</f>
        <v>1000000</v>
      </c>
    </row>
    <row r="7" spans="2:11" ht="14.4" x14ac:dyDescent="0.2">
      <c r="B7" s="4">
        <f>EDATE(設定!$C$8,1)</f>
        <v>46082</v>
      </c>
      <c r="C7" s="25">
        <v>350000</v>
      </c>
      <c r="D7" s="25">
        <v>250000</v>
      </c>
      <c r="E7" s="28">
        <f t="shared" si="0"/>
        <v>100000</v>
      </c>
      <c r="F7" s="25">
        <v>80000</v>
      </c>
      <c r="G7" s="29">
        <f t="shared" ref="G7:G29" si="1">G6+IF(F7="",0,F7)</f>
        <v>330000</v>
      </c>
      <c r="H7" s="29">
        <f>MAX(0,設定!$C$5-G7)</f>
        <v>670000</v>
      </c>
      <c r="I7" s="5">
        <f>IF(設定!$C$5=0,"",MIN(1,G7/設定!$C$5))</f>
        <v>0.33</v>
      </c>
      <c r="K7" s="33">
        <f>設定!$C$5</f>
        <v>1000000</v>
      </c>
    </row>
    <row r="8" spans="2:11" ht="14.4" x14ac:dyDescent="0.2">
      <c r="B8" s="4">
        <f>EDATE(設定!$C$8,2)</f>
        <v>46113</v>
      </c>
      <c r="C8" s="25">
        <v>350000</v>
      </c>
      <c r="D8" s="25">
        <v>250000</v>
      </c>
      <c r="E8" s="28">
        <f t="shared" si="0"/>
        <v>100000</v>
      </c>
      <c r="F8" s="25">
        <v>80000</v>
      </c>
      <c r="G8" s="29">
        <f t="shared" si="1"/>
        <v>410000</v>
      </c>
      <c r="H8" s="29">
        <f>MAX(0,設定!$C$5-G8)</f>
        <v>590000</v>
      </c>
      <c r="I8" s="5">
        <f>IF(設定!$C$5=0,"",MIN(1,G8/設定!$C$5))</f>
        <v>0.41</v>
      </c>
      <c r="K8" s="33">
        <f>設定!$C$5</f>
        <v>1000000</v>
      </c>
    </row>
    <row r="9" spans="2:11" ht="14.4" x14ac:dyDescent="0.2">
      <c r="B9" s="4">
        <f>EDATE(設定!$C$8,3)</f>
        <v>46143</v>
      </c>
      <c r="C9" s="25"/>
      <c r="D9" s="25"/>
      <c r="E9" s="28">
        <f t="shared" si="0"/>
        <v>0</v>
      </c>
      <c r="F9" s="25"/>
      <c r="G9" s="29">
        <f t="shared" si="1"/>
        <v>410000</v>
      </c>
      <c r="H9" s="29">
        <f>MAX(0,設定!$C$5-G9)</f>
        <v>590000</v>
      </c>
      <c r="I9" s="5">
        <f>IF(設定!$C$5=0,"",MIN(1,G9/設定!$C$5))</f>
        <v>0.41</v>
      </c>
      <c r="K9" s="33">
        <f>設定!$C$5</f>
        <v>1000000</v>
      </c>
    </row>
    <row r="10" spans="2:11" ht="14.4" x14ac:dyDescent="0.2">
      <c r="B10" s="4">
        <f>EDATE(設定!$C$8,4)</f>
        <v>46174</v>
      </c>
      <c r="C10" s="25"/>
      <c r="D10" s="25"/>
      <c r="E10" s="28">
        <f t="shared" si="0"/>
        <v>0</v>
      </c>
      <c r="F10" s="25"/>
      <c r="G10" s="29">
        <f t="shared" si="1"/>
        <v>410000</v>
      </c>
      <c r="H10" s="29">
        <f>MAX(0,設定!$C$5-G10)</f>
        <v>590000</v>
      </c>
      <c r="I10" s="5">
        <f>IF(設定!$C$5=0,"",MIN(1,G10/設定!$C$5))</f>
        <v>0.41</v>
      </c>
      <c r="K10" s="33">
        <f>設定!$C$5</f>
        <v>1000000</v>
      </c>
    </row>
    <row r="11" spans="2:11" ht="14.4" x14ac:dyDescent="0.2">
      <c r="B11" s="4">
        <f>EDATE(設定!$C$8,5)</f>
        <v>46204</v>
      </c>
      <c r="C11" s="25"/>
      <c r="D11" s="25"/>
      <c r="E11" s="28">
        <f t="shared" si="0"/>
        <v>0</v>
      </c>
      <c r="F11" s="25"/>
      <c r="G11" s="29">
        <f t="shared" si="1"/>
        <v>410000</v>
      </c>
      <c r="H11" s="29">
        <f>MAX(0,設定!$C$5-G11)</f>
        <v>590000</v>
      </c>
      <c r="I11" s="5">
        <f>IF(設定!$C$5=0,"",MIN(1,G11/設定!$C$5))</f>
        <v>0.41</v>
      </c>
      <c r="K11" s="33">
        <f>設定!$C$5</f>
        <v>1000000</v>
      </c>
    </row>
    <row r="12" spans="2:11" ht="14.4" x14ac:dyDescent="0.2">
      <c r="B12" s="4">
        <f>EDATE(設定!$C$8,6)</f>
        <v>46235</v>
      </c>
      <c r="C12" s="25"/>
      <c r="D12" s="25"/>
      <c r="E12" s="28">
        <f t="shared" si="0"/>
        <v>0</v>
      </c>
      <c r="F12" s="25"/>
      <c r="G12" s="29">
        <f t="shared" si="1"/>
        <v>410000</v>
      </c>
      <c r="H12" s="29">
        <f>MAX(0,設定!$C$5-G12)</f>
        <v>590000</v>
      </c>
      <c r="I12" s="5">
        <f>IF(設定!$C$5=0,"",MIN(1,G12/設定!$C$5))</f>
        <v>0.41</v>
      </c>
      <c r="K12" s="33">
        <f>設定!$C$5</f>
        <v>1000000</v>
      </c>
    </row>
    <row r="13" spans="2:11" ht="14.4" x14ac:dyDescent="0.2">
      <c r="B13" s="4">
        <f>EDATE(設定!$C$8,7)</f>
        <v>46266</v>
      </c>
      <c r="C13" s="25"/>
      <c r="D13" s="25"/>
      <c r="E13" s="28">
        <f t="shared" si="0"/>
        <v>0</v>
      </c>
      <c r="F13" s="25"/>
      <c r="G13" s="29">
        <f t="shared" si="1"/>
        <v>410000</v>
      </c>
      <c r="H13" s="29">
        <f>MAX(0,設定!$C$5-G13)</f>
        <v>590000</v>
      </c>
      <c r="I13" s="5">
        <f>IF(設定!$C$5=0,"",MIN(1,G13/設定!$C$5))</f>
        <v>0.41</v>
      </c>
      <c r="K13" s="33">
        <f>設定!$C$5</f>
        <v>1000000</v>
      </c>
    </row>
    <row r="14" spans="2:11" ht="14.4" x14ac:dyDescent="0.2">
      <c r="B14" s="4">
        <f>EDATE(設定!$C$8,8)</f>
        <v>46296</v>
      </c>
      <c r="C14" s="25"/>
      <c r="D14" s="25"/>
      <c r="E14" s="28">
        <f t="shared" si="0"/>
        <v>0</v>
      </c>
      <c r="F14" s="25"/>
      <c r="G14" s="29">
        <f t="shared" si="1"/>
        <v>410000</v>
      </c>
      <c r="H14" s="29">
        <f>MAX(0,設定!$C$5-G14)</f>
        <v>590000</v>
      </c>
      <c r="I14" s="5">
        <f>IF(設定!$C$5=0,"",MIN(1,G14/設定!$C$5))</f>
        <v>0.41</v>
      </c>
      <c r="K14" s="33">
        <f>設定!$C$5</f>
        <v>1000000</v>
      </c>
    </row>
    <row r="15" spans="2:11" ht="14.4" x14ac:dyDescent="0.2">
      <c r="B15" s="4">
        <f>EDATE(設定!$C$8,9)</f>
        <v>46327</v>
      </c>
      <c r="C15" s="25"/>
      <c r="D15" s="25"/>
      <c r="E15" s="28">
        <f t="shared" si="0"/>
        <v>0</v>
      </c>
      <c r="F15" s="25"/>
      <c r="G15" s="29">
        <f t="shared" si="1"/>
        <v>410000</v>
      </c>
      <c r="H15" s="29">
        <f>MAX(0,設定!$C$5-G15)</f>
        <v>590000</v>
      </c>
      <c r="I15" s="5">
        <f>IF(設定!$C$5=0,"",MIN(1,G15/設定!$C$5))</f>
        <v>0.41</v>
      </c>
      <c r="K15" s="33">
        <f>設定!$C$5</f>
        <v>1000000</v>
      </c>
    </row>
    <row r="16" spans="2:11" ht="14.4" x14ac:dyDescent="0.2">
      <c r="B16" s="4">
        <f>EDATE(設定!$C$8,10)</f>
        <v>46357</v>
      </c>
      <c r="C16" s="25"/>
      <c r="D16" s="25"/>
      <c r="E16" s="28">
        <f t="shared" si="0"/>
        <v>0</v>
      </c>
      <c r="F16" s="25"/>
      <c r="G16" s="29">
        <f t="shared" si="1"/>
        <v>410000</v>
      </c>
      <c r="H16" s="29">
        <f>MAX(0,設定!$C$5-G16)</f>
        <v>590000</v>
      </c>
      <c r="I16" s="5">
        <f>IF(設定!$C$5=0,"",MIN(1,G16/設定!$C$5))</f>
        <v>0.41</v>
      </c>
      <c r="K16" s="33">
        <f>設定!$C$5</f>
        <v>1000000</v>
      </c>
    </row>
    <row r="17" spans="2:11" ht="14.4" x14ac:dyDescent="0.2">
      <c r="B17" s="4">
        <f>EDATE(設定!$C$8,11)</f>
        <v>46388</v>
      </c>
      <c r="C17" s="25"/>
      <c r="D17" s="25"/>
      <c r="E17" s="28">
        <f t="shared" si="0"/>
        <v>0</v>
      </c>
      <c r="F17" s="25"/>
      <c r="G17" s="29">
        <f t="shared" si="1"/>
        <v>410000</v>
      </c>
      <c r="H17" s="29">
        <f>MAX(0,設定!$C$5-G17)</f>
        <v>590000</v>
      </c>
      <c r="I17" s="5">
        <f>IF(設定!$C$5=0,"",MIN(1,G17/設定!$C$5))</f>
        <v>0.41</v>
      </c>
      <c r="K17" s="33">
        <f>設定!$C$5</f>
        <v>1000000</v>
      </c>
    </row>
    <row r="18" spans="2:11" ht="14.4" x14ac:dyDescent="0.2">
      <c r="B18" s="4">
        <f>EDATE(設定!$C$8,12)</f>
        <v>46419</v>
      </c>
      <c r="C18" s="25"/>
      <c r="D18" s="25"/>
      <c r="E18" s="28">
        <f t="shared" si="0"/>
        <v>0</v>
      </c>
      <c r="F18" s="25"/>
      <c r="G18" s="29">
        <f t="shared" si="1"/>
        <v>410000</v>
      </c>
      <c r="H18" s="29">
        <f>MAX(0,設定!$C$5-G18)</f>
        <v>590000</v>
      </c>
      <c r="I18" s="5">
        <f>IF(設定!$C$5=0,"",MIN(1,G18/設定!$C$5))</f>
        <v>0.41</v>
      </c>
      <c r="K18" s="33">
        <f>設定!$C$5</f>
        <v>1000000</v>
      </c>
    </row>
    <row r="19" spans="2:11" ht="14.4" x14ac:dyDescent="0.2">
      <c r="B19" s="4">
        <f>EDATE(設定!$C$8,13)</f>
        <v>46447</v>
      </c>
      <c r="C19" s="25"/>
      <c r="D19" s="25"/>
      <c r="E19" s="28">
        <f t="shared" si="0"/>
        <v>0</v>
      </c>
      <c r="F19" s="25"/>
      <c r="G19" s="29">
        <f t="shared" si="1"/>
        <v>410000</v>
      </c>
      <c r="H19" s="29">
        <f>MAX(0,設定!$C$5-G19)</f>
        <v>590000</v>
      </c>
      <c r="I19" s="5">
        <f>IF(設定!$C$5=0,"",MIN(1,G19/設定!$C$5))</f>
        <v>0.41</v>
      </c>
      <c r="K19" s="33">
        <f>設定!$C$5</f>
        <v>1000000</v>
      </c>
    </row>
    <row r="20" spans="2:11" ht="14.4" x14ac:dyDescent="0.2">
      <c r="B20" s="4">
        <f>EDATE(設定!$C$8,14)</f>
        <v>46478</v>
      </c>
      <c r="C20" s="25"/>
      <c r="D20" s="25"/>
      <c r="E20" s="28">
        <f t="shared" si="0"/>
        <v>0</v>
      </c>
      <c r="F20" s="25"/>
      <c r="G20" s="29">
        <f t="shared" si="1"/>
        <v>410000</v>
      </c>
      <c r="H20" s="29">
        <f>MAX(0,設定!$C$5-G20)</f>
        <v>590000</v>
      </c>
      <c r="I20" s="5">
        <f>IF(設定!$C$5=0,"",MIN(1,G20/設定!$C$5))</f>
        <v>0.41</v>
      </c>
      <c r="K20" s="33">
        <f>設定!$C$5</f>
        <v>1000000</v>
      </c>
    </row>
    <row r="21" spans="2:11" ht="14.4" x14ac:dyDescent="0.2">
      <c r="B21" s="4">
        <f>EDATE(設定!$C$8,15)</f>
        <v>46508</v>
      </c>
      <c r="C21" s="25"/>
      <c r="D21" s="25"/>
      <c r="E21" s="28">
        <f t="shared" si="0"/>
        <v>0</v>
      </c>
      <c r="F21" s="25"/>
      <c r="G21" s="29">
        <f t="shared" si="1"/>
        <v>410000</v>
      </c>
      <c r="H21" s="29">
        <f>MAX(0,設定!$C$5-G21)</f>
        <v>590000</v>
      </c>
      <c r="I21" s="5">
        <f>IF(設定!$C$5=0,"",MIN(1,G21/設定!$C$5))</f>
        <v>0.41</v>
      </c>
      <c r="K21" s="33">
        <f>設定!$C$5</f>
        <v>1000000</v>
      </c>
    </row>
    <row r="22" spans="2:11" ht="14.4" x14ac:dyDescent="0.2">
      <c r="B22" s="4">
        <f>EDATE(設定!$C$8,16)</f>
        <v>46539</v>
      </c>
      <c r="C22" s="25"/>
      <c r="D22" s="25"/>
      <c r="E22" s="28">
        <f t="shared" si="0"/>
        <v>0</v>
      </c>
      <c r="F22" s="25"/>
      <c r="G22" s="29">
        <f t="shared" si="1"/>
        <v>410000</v>
      </c>
      <c r="H22" s="29">
        <f>MAX(0,設定!$C$5-G22)</f>
        <v>590000</v>
      </c>
      <c r="I22" s="5">
        <f>IF(設定!$C$5=0,"",MIN(1,G22/設定!$C$5))</f>
        <v>0.41</v>
      </c>
      <c r="K22" s="33">
        <f>設定!$C$5</f>
        <v>1000000</v>
      </c>
    </row>
    <row r="23" spans="2:11" ht="14.4" x14ac:dyDescent="0.2">
      <c r="B23" s="4">
        <f>EDATE(設定!$C$8,17)</f>
        <v>46569</v>
      </c>
      <c r="C23" s="25"/>
      <c r="D23" s="25"/>
      <c r="E23" s="28">
        <f t="shared" si="0"/>
        <v>0</v>
      </c>
      <c r="F23" s="25"/>
      <c r="G23" s="29">
        <f t="shared" si="1"/>
        <v>410000</v>
      </c>
      <c r="H23" s="29">
        <f>MAX(0,設定!$C$5-G23)</f>
        <v>590000</v>
      </c>
      <c r="I23" s="5">
        <f>IF(設定!$C$5=0,"",MIN(1,G23/設定!$C$5))</f>
        <v>0.41</v>
      </c>
      <c r="K23" s="33">
        <f>設定!$C$5</f>
        <v>1000000</v>
      </c>
    </row>
    <row r="24" spans="2:11" ht="14.4" x14ac:dyDescent="0.2">
      <c r="B24" s="4">
        <f>EDATE(設定!$C$8,18)</f>
        <v>46600</v>
      </c>
      <c r="C24" s="25"/>
      <c r="D24" s="25"/>
      <c r="E24" s="28">
        <f t="shared" si="0"/>
        <v>0</v>
      </c>
      <c r="F24" s="25"/>
      <c r="G24" s="29">
        <f t="shared" si="1"/>
        <v>410000</v>
      </c>
      <c r="H24" s="29">
        <f>MAX(0,設定!$C$5-G24)</f>
        <v>590000</v>
      </c>
      <c r="I24" s="5">
        <f>IF(設定!$C$5=0,"",MIN(1,G24/設定!$C$5))</f>
        <v>0.41</v>
      </c>
      <c r="K24" s="33">
        <f>設定!$C$5</f>
        <v>1000000</v>
      </c>
    </row>
    <row r="25" spans="2:11" ht="14.4" x14ac:dyDescent="0.2">
      <c r="B25" s="4">
        <f>EDATE(設定!$C$8,19)</f>
        <v>46631</v>
      </c>
      <c r="C25" s="25"/>
      <c r="D25" s="25"/>
      <c r="E25" s="28">
        <f t="shared" si="0"/>
        <v>0</v>
      </c>
      <c r="F25" s="25"/>
      <c r="G25" s="29">
        <f t="shared" si="1"/>
        <v>410000</v>
      </c>
      <c r="H25" s="29">
        <f>MAX(0,設定!$C$5-G25)</f>
        <v>590000</v>
      </c>
      <c r="I25" s="5">
        <f>IF(設定!$C$5=0,"",MIN(1,G25/設定!$C$5))</f>
        <v>0.41</v>
      </c>
      <c r="K25" s="33">
        <f>設定!$C$5</f>
        <v>1000000</v>
      </c>
    </row>
    <row r="26" spans="2:11" ht="14.4" x14ac:dyDescent="0.2">
      <c r="B26" s="4">
        <f>EDATE(設定!$C$8,20)</f>
        <v>46661</v>
      </c>
      <c r="C26" s="25"/>
      <c r="D26" s="25"/>
      <c r="E26" s="28">
        <f t="shared" si="0"/>
        <v>0</v>
      </c>
      <c r="F26" s="25"/>
      <c r="G26" s="29">
        <f t="shared" si="1"/>
        <v>410000</v>
      </c>
      <c r="H26" s="29">
        <f>MAX(0,設定!$C$5-G26)</f>
        <v>590000</v>
      </c>
      <c r="I26" s="5">
        <f>IF(設定!$C$5=0,"",MIN(1,G26/設定!$C$5))</f>
        <v>0.41</v>
      </c>
      <c r="K26" s="33">
        <f>設定!$C$5</f>
        <v>1000000</v>
      </c>
    </row>
    <row r="27" spans="2:11" ht="14.4" x14ac:dyDescent="0.2">
      <c r="B27" s="4">
        <f>EDATE(設定!$C$8,21)</f>
        <v>46692</v>
      </c>
      <c r="C27" s="25"/>
      <c r="D27" s="25"/>
      <c r="E27" s="28">
        <f t="shared" si="0"/>
        <v>0</v>
      </c>
      <c r="F27" s="25"/>
      <c r="G27" s="29">
        <f t="shared" si="1"/>
        <v>410000</v>
      </c>
      <c r="H27" s="29">
        <f>MAX(0,設定!$C$5-G27)</f>
        <v>590000</v>
      </c>
      <c r="I27" s="5">
        <f>IF(設定!$C$5=0,"",MIN(1,G27/設定!$C$5))</f>
        <v>0.41</v>
      </c>
      <c r="K27" s="33">
        <f>設定!$C$5</f>
        <v>1000000</v>
      </c>
    </row>
    <row r="28" spans="2:11" ht="14.4" x14ac:dyDescent="0.2">
      <c r="B28" s="4">
        <f>EDATE(設定!$C$8,22)</f>
        <v>46722</v>
      </c>
      <c r="C28" s="25"/>
      <c r="D28" s="25"/>
      <c r="E28" s="28">
        <f t="shared" si="0"/>
        <v>0</v>
      </c>
      <c r="F28" s="25"/>
      <c r="G28" s="29">
        <f t="shared" si="1"/>
        <v>410000</v>
      </c>
      <c r="H28" s="29">
        <f>MAX(0,設定!$C$5-G28)</f>
        <v>590000</v>
      </c>
      <c r="I28" s="5">
        <f>IF(設定!$C$5=0,"",MIN(1,G28/設定!$C$5))</f>
        <v>0.41</v>
      </c>
      <c r="K28" s="33">
        <f>設定!$C$5</f>
        <v>1000000</v>
      </c>
    </row>
    <row r="29" spans="2:11" ht="14.4" x14ac:dyDescent="0.2">
      <c r="B29" s="4">
        <f>EDATE(設定!$C$8,23)</f>
        <v>46753</v>
      </c>
      <c r="C29" s="25"/>
      <c r="D29" s="25"/>
      <c r="E29" s="28">
        <f t="shared" si="0"/>
        <v>0</v>
      </c>
      <c r="F29" s="25"/>
      <c r="G29" s="29">
        <f t="shared" si="1"/>
        <v>410000</v>
      </c>
      <c r="H29" s="29">
        <f>MAX(0,設定!$C$5-G29)</f>
        <v>590000</v>
      </c>
      <c r="I29" s="5">
        <f>IF(設定!$C$5=0,"",MIN(1,G29/設定!$C$5))</f>
        <v>0.41</v>
      </c>
      <c r="K29" s="33">
        <f>設定!$C$5</f>
        <v>1000000</v>
      </c>
    </row>
    <row r="30" spans="2:11" ht="14.4" x14ac:dyDescent="0.2">
      <c r="B30" s="6" t="s">
        <v>18</v>
      </c>
      <c r="C30" s="30">
        <f>SUM(C6:C29)</f>
        <v>1050000</v>
      </c>
      <c r="D30" s="30">
        <f>SUM(D6:D29)</f>
        <v>780000</v>
      </c>
      <c r="E30" s="30">
        <f>SUM(E6:E29)</f>
        <v>270000</v>
      </c>
      <c r="F30" s="30">
        <f>SUM(F6:F29)</f>
        <v>210000</v>
      </c>
      <c r="G30" s="31">
        <f>G29</f>
        <v>410000</v>
      </c>
      <c r="H30" s="31">
        <f>H29</f>
        <v>590000</v>
      </c>
      <c r="I30" s="7">
        <f>I29</f>
        <v>0.41</v>
      </c>
    </row>
  </sheetData>
  <mergeCells count="1">
    <mergeCell ref="B2:I2"/>
  </mergeCells>
  <phoneticPr fontId="11"/>
  <printOptions horizontalCentered="1"/>
  <pageMargins left="0.75" right="0.75" top="1" bottom="1" header="0.5" footer="0.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ダッシュボード</vt:lpstr>
      <vt:lpstr>設定</vt:lpstr>
      <vt:lpstr>月次入力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2026-02-15T21:38:11Z</dcterms:created>
  <dcterms:modified xsi:type="dcterms:W3CDTF">2026-02-15T22:39:04Z</dcterms:modified>
</cp:coreProperties>
</file>